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N~1\AppData\Local\Temp\Rar$DIa13976.5874\"/>
    </mc:Choice>
  </mc:AlternateContent>
  <xr:revisionPtr revIDLastSave="0" documentId="13_ncr:1_{440B0247-1B74-4BBA-AADF-24AC1551E5A4}" xr6:coauthVersionLast="47" xr6:coauthVersionMax="47" xr10:uidLastSave="{00000000-0000-0000-0000-000000000000}"/>
  <bookViews>
    <workbookView xWindow="-110" yWindow="-110" windowWidth="19420" windowHeight="10420" tabRatio="838" xr2:uid="{C1BFD33F-5052-4D23-8BF8-1068553FC843}"/>
  </bookViews>
  <sheets>
    <sheet name="Portada" sheetId="6" r:id="rId1"/>
    <sheet name="Escenarios" sheetId="1" r:id="rId2"/>
    <sheet name="Emisiones Escenario Previo" sheetId="2" r:id="rId3"/>
    <sheet name="Emisiones Escenario Actual" sheetId="3" r:id="rId4"/>
    <sheet name="Emisiones Escenario Futuro" sheetId="4" r:id="rId5"/>
    <sheet name="Resultados SCREEN3 y Análisis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4" l="1"/>
  <c r="E30" i="4"/>
  <c r="E31" i="3"/>
  <c r="E10" i="3"/>
  <c r="B45" i="5"/>
  <c r="B46" i="5" s="1"/>
  <c r="B30" i="5"/>
  <c r="B31" i="5" s="1"/>
  <c r="B15" i="5"/>
  <c r="B16" i="5" s="1"/>
  <c r="B21" i="4"/>
  <c r="E19" i="4"/>
  <c r="E29" i="4"/>
  <c r="E28" i="4"/>
  <c r="E18" i="4"/>
  <c r="B10" i="4"/>
  <c r="C10" i="4" s="1"/>
  <c r="B9" i="4"/>
  <c r="C9" i="4" s="1"/>
  <c r="E8" i="4"/>
  <c r="B8" i="4"/>
  <c r="C8" i="4" s="1"/>
  <c r="B7" i="4"/>
  <c r="C6" i="4"/>
  <c r="B22" i="3"/>
  <c r="E30" i="3"/>
  <c r="E29" i="3"/>
  <c r="E19" i="3"/>
  <c r="E18" i="3"/>
  <c r="B10" i="3"/>
  <c r="C10" i="3" s="1"/>
  <c r="B9" i="3"/>
  <c r="C9" i="3" s="1"/>
  <c r="E8" i="3"/>
  <c r="B8" i="3"/>
  <c r="B7" i="3"/>
  <c r="C7" i="3" s="1"/>
  <c r="C6" i="3"/>
  <c r="E31" i="2"/>
  <c r="E30" i="2"/>
  <c r="B11" i="4" l="1"/>
  <c r="C11" i="4" s="1"/>
  <c r="E20" i="3"/>
  <c r="E21" i="3" s="1"/>
  <c r="C36" i="3" s="1"/>
  <c r="B11" i="3"/>
  <c r="C11" i="3" s="1"/>
  <c r="E20" i="4"/>
  <c r="E21" i="4" s="1"/>
  <c r="C35" i="4" s="1"/>
  <c r="C7" i="4"/>
  <c r="E9" i="4" s="1"/>
  <c r="C8" i="3"/>
  <c r="E9" i="3" s="1"/>
  <c r="B22" i="2"/>
  <c r="E19" i="2" l="1"/>
  <c r="E18" i="2"/>
  <c r="E8" i="2"/>
  <c r="B10" i="2"/>
  <c r="C10" i="2" s="1"/>
  <c r="B9" i="2"/>
  <c r="C9" i="2" s="1"/>
  <c r="B8" i="2"/>
  <c r="C8" i="2" s="1"/>
  <c r="B7" i="2"/>
  <c r="C7" i="2" s="1"/>
  <c r="C6" i="2"/>
  <c r="E9" i="2" l="1"/>
  <c r="E10" i="2" s="1"/>
  <c r="C37" i="2" s="1"/>
  <c r="B11" i="2"/>
  <c r="C11" i="2" l="1"/>
  <c r="E20" i="2"/>
  <c r="E21" i="2" s="1"/>
  <c r="C38" i="2" s="1"/>
  <c r="C5" i="1" l="1"/>
  <c r="E11" i="4"/>
  <c r="C34" i="4" s="1"/>
  <c r="E31" i="4"/>
  <c r="C36" i="4" s="1"/>
  <c r="E11" i="3"/>
  <c r="C35" i="3" s="1"/>
  <c r="E32" i="3"/>
  <c r="C37" i="3" s="1"/>
  <c r="E32" i="2" l="1"/>
  <c r="E33" i="2" s="1"/>
  <c r="C39" i="2" s="1"/>
  <c r="D37" i="2" s="1"/>
  <c r="D35" i="3"/>
  <c r="D34" i="4"/>
</calcChain>
</file>

<file path=xl/sharedStrings.xml><?xml version="1.0" encoding="utf-8"?>
<sst xmlns="http://schemas.openxmlformats.org/spreadsheetml/2006/main" count="239" uniqueCount="80">
  <si>
    <t xml:space="preserve">Implementación de un Sistema de Monitoreo de Calidad del aire (MP10, MP2,5 y MPS, incluyendo hierro en MPS) y meteorología básica. </t>
  </si>
  <si>
    <t xml:space="preserve">Implementación de barrera interna entre pilas, orientada a controlar las emisiones fugitivas de las pilas. </t>
  </si>
  <si>
    <t xml:space="preserve">Implementación de torres móviles en cada pila, orientado a controlar emisiones fugitivas de las pilas. </t>
  </si>
  <si>
    <r>
      <t xml:space="preserve">Regulación de altura máxima de pilas mediante sistema de medición </t>
    </r>
    <r>
      <rPr>
        <i/>
        <sz val="11"/>
        <color theme="1"/>
        <rFont val="Century Gothic"/>
        <family val="2"/>
      </rPr>
      <t>in situ</t>
    </r>
    <r>
      <rPr>
        <sz val="11"/>
        <color theme="1"/>
        <rFont val="Century Gothic"/>
        <family val="2"/>
      </rPr>
      <t xml:space="preserve"> bajo el sistema de regletas móviles, orientado a mantener la altura máxima y con ello la revancha proyectada. </t>
    </r>
  </si>
  <si>
    <t xml:space="preserve">Sistema de Limpieza de Tolva para salida de Camiones y verificación  de encarpado, orientado a controlar las emisiones fugitivas derivadas del trasporte. </t>
  </si>
  <si>
    <t>Sistema de Riego por Aspersores, orientado a controlar las emisiones de las pilas.</t>
  </si>
  <si>
    <t>Riego Manual Focalizado orientado a controlar emisiones fugitivas producto de la actividad de descarga y carga de mineral.</t>
  </si>
  <si>
    <t xml:space="preserve">Sistema de Humectación Camino Interno con supresión de polvo, orientado a controlar las emisiones derivadas del transporte interno. </t>
  </si>
  <si>
    <t>Medida</t>
  </si>
  <si>
    <t>Abatimiento</t>
  </si>
  <si>
    <t>Control</t>
  </si>
  <si>
    <t>-</t>
  </si>
  <si>
    <t>Monitoreo</t>
  </si>
  <si>
    <t>Monitoreo/Control/Abatimiento</t>
  </si>
  <si>
    <t>Ea (%)</t>
  </si>
  <si>
    <t>N/A</t>
  </si>
  <si>
    <t>Sistema de medición de emisiones fugitivas de material particulado mediante equipo “Dustmate”</t>
  </si>
  <si>
    <t>Humectación Camino Interno</t>
  </si>
  <si>
    <t>Cara Pila</t>
  </si>
  <si>
    <t>Cubierta</t>
  </si>
  <si>
    <t>Lado 1</t>
  </si>
  <si>
    <t>Lado 2</t>
  </si>
  <si>
    <t>Lado 3</t>
  </si>
  <si>
    <t>Lado 4</t>
  </si>
  <si>
    <t xml:space="preserve">Total </t>
  </si>
  <si>
    <t>Valor</t>
  </si>
  <si>
    <t>k</t>
  </si>
  <si>
    <t>s (%)</t>
  </si>
  <si>
    <t>Fe (kg/ha-día)</t>
  </si>
  <si>
    <t>Na</t>
  </si>
  <si>
    <t>E (kg/día)</t>
  </si>
  <si>
    <t>EROSIÓN EÓLICA</t>
  </si>
  <si>
    <t>Flujo mineral</t>
  </si>
  <si>
    <t>Mes</t>
  </si>
  <si>
    <t>U (m/s)</t>
  </si>
  <si>
    <t>M (%)</t>
  </si>
  <si>
    <t>CARGUÍO Y VOLTEO DE MATERIAL</t>
  </si>
  <si>
    <t xml:space="preserve">Parámetros </t>
  </si>
  <si>
    <t>f (%)</t>
  </si>
  <si>
    <t>Días período</t>
  </si>
  <si>
    <t>Fe (kg/t)</t>
  </si>
  <si>
    <t>Na (t/esc)</t>
  </si>
  <si>
    <t>E (kg/esc)</t>
  </si>
  <si>
    <t>Camiones por día</t>
  </si>
  <si>
    <t>K</t>
  </si>
  <si>
    <t>S (%)</t>
  </si>
  <si>
    <t>W (Ton)</t>
  </si>
  <si>
    <t>Fe (g/km)</t>
  </si>
  <si>
    <t>TRÁNSITO DE VEHÍCULOS PESADOS POR CAMINOS NO PAVIMENTADOS</t>
  </si>
  <si>
    <t>Parámetros</t>
  </si>
  <si>
    <t>Longitud camino (km)</t>
  </si>
  <si>
    <t>Na (km/día)</t>
  </si>
  <si>
    <t>Tránsito por caminos no pavimentados</t>
  </si>
  <si>
    <t>Na (ha)</t>
  </si>
  <si>
    <t>Emisión (t/escenario)</t>
  </si>
  <si>
    <t>Emisión Total (t/escenario)</t>
  </si>
  <si>
    <t>ESCENARIO PREVIO (AGOSTO 2020 - ENERO 2021)</t>
  </si>
  <si>
    <t>ESCENARIO ACTUAL (FEBRERO 2021 - JULIO 2021)</t>
  </si>
  <si>
    <t>ESCENARIO FUTURO (AGOSTO 2021 - DICIEMBRE 2021)</t>
  </si>
  <si>
    <r>
      <t>Superficie (m</t>
    </r>
    <r>
      <rPr>
        <b/>
        <vertAlign val="superscript"/>
        <sz val="11"/>
        <color theme="0"/>
        <rFont val="Century Gothic"/>
        <family val="2"/>
      </rPr>
      <t>2</t>
    </r>
    <r>
      <rPr>
        <b/>
        <sz val="11"/>
        <color theme="0"/>
        <rFont val="Century Gothic"/>
        <family val="2"/>
      </rPr>
      <t>)</t>
    </r>
  </si>
  <si>
    <t>Superficie (ha)</t>
  </si>
  <si>
    <t>Cantidad total recepcionada (t)</t>
  </si>
  <si>
    <t>Distancia (m)</t>
  </si>
  <si>
    <r>
      <t>Concentración (µg/m</t>
    </r>
    <r>
      <rPr>
        <b/>
        <vertAlign val="superscript"/>
        <sz val="11"/>
        <color theme="1"/>
        <rFont val="Century Gothic"/>
        <family val="2"/>
      </rPr>
      <t>3</t>
    </r>
    <r>
      <rPr>
        <b/>
        <sz val="11"/>
        <color theme="1"/>
        <rFont val="Century Gothic"/>
        <family val="2"/>
      </rPr>
      <t>)</t>
    </r>
  </si>
  <si>
    <r>
      <t>Concentración Horaria Máximo Impacto (µg/m</t>
    </r>
    <r>
      <rPr>
        <b/>
        <vertAlign val="superscript"/>
        <sz val="11"/>
        <color theme="0"/>
        <rFont val="Century Gothic"/>
        <family val="2"/>
      </rPr>
      <t>3</t>
    </r>
    <r>
      <rPr>
        <b/>
        <sz val="11"/>
        <color theme="0"/>
        <rFont val="Century Gothic"/>
        <family val="2"/>
      </rPr>
      <t>)</t>
    </r>
  </si>
  <si>
    <r>
      <t>Porcentaje Norma Diaria (%) (Lím. Permisible = 150 µg/m</t>
    </r>
    <r>
      <rPr>
        <b/>
        <vertAlign val="superscript"/>
        <sz val="11"/>
        <color theme="0"/>
        <rFont val="Century Gothic"/>
        <family val="2"/>
      </rPr>
      <t>3</t>
    </r>
    <r>
      <rPr>
        <b/>
        <sz val="11"/>
        <color theme="0"/>
        <rFont val="Century Gothic"/>
        <family val="2"/>
      </rPr>
      <t>)</t>
    </r>
  </si>
  <si>
    <t>Actividad</t>
  </si>
  <si>
    <t>Erosión eólica</t>
  </si>
  <si>
    <t>Carguío y volteo de material</t>
  </si>
  <si>
    <t>2. INVENTARIO DE EMISIONES ESCENARIO PREVIO (AGOSTO 2020 - ENERO 2021)</t>
  </si>
  <si>
    <t>1. DEFINICIÓN EFICIENCIAS DE ABATIMIENTO POR MEDIDAS PARA CADA ESCENARIO</t>
  </si>
  <si>
    <t>3. INVENTARIO DE EMISIONES ESCENARIO ACTUAL (FEBRERO 2021 - JULIO 2021)</t>
  </si>
  <si>
    <t>4. INVENTARIO DE EMISIONES ESCENARIO FUTURO (AGOSTO 2021 - DICIEMBRE 2021)</t>
  </si>
  <si>
    <t>5. RESULTADOS MODELACIÓN SCREEN3 Y ANÁLISIS DE NORMATIVA MP10 POR ESCENARIO</t>
  </si>
  <si>
    <t>ANÁLISIS Y ESTIMACIÓN DE POSIBLES EFECTOS AMBIENTALES - CARGOS N°1 Y N°2</t>
  </si>
  <si>
    <t>Puerto Punta Caldera</t>
  </si>
  <si>
    <r>
      <t>RESOLUCIÓN EXENTA N</t>
    </r>
    <r>
      <rPr>
        <sz val="16"/>
        <color theme="1"/>
        <rFont val="Symbol"/>
        <family val="1"/>
        <charset val="2"/>
      </rPr>
      <t>°</t>
    </r>
    <r>
      <rPr>
        <sz val="16"/>
        <color theme="1"/>
        <rFont val="Century Gothic"/>
        <family val="1"/>
      </rPr>
      <t xml:space="preserve"> 1/ROL D-118-2021</t>
    </r>
  </si>
  <si>
    <r>
      <t>Concentración Diaria Máximo Impacto (µg/m</t>
    </r>
    <r>
      <rPr>
        <b/>
        <vertAlign val="superscript"/>
        <sz val="11"/>
        <color theme="0"/>
        <rFont val="Century Gothic"/>
        <family val="2"/>
      </rPr>
      <t>3</t>
    </r>
    <r>
      <rPr>
        <b/>
        <sz val="11"/>
        <color theme="0"/>
        <rFont val="Century Gothic"/>
        <family val="2"/>
      </rPr>
      <t>)</t>
    </r>
  </si>
  <si>
    <t>Dimensiones Pila</t>
  </si>
  <si>
    <t>APENDICE 1. INVENTARIO DE EMISIONES Y RESULTADOS MODELACIÓN SCREEN3 MP10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</si>
</sst>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%"/>
    <numFmt numFmtId="165" formatCode="#,##0.000"/>
    <numFmt numFmtId="166" formatCode="0.000"/>
    <numFmt numFmtId="167" formatCode="0.000E+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i/>
      <sz val="11"/>
      <color theme="1"/>
      <name val="Century Gothic"/>
      <family val="2"/>
    </font>
    <font>
      <b/>
      <sz val="11"/>
      <color theme="0"/>
      <name val="Century Gothic"/>
      <family val="2"/>
    </font>
    <font>
      <b/>
      <sz val="11"/>
      <color theme="1"/>
      <name val="Century Gothic"/>
      <family val="2"/>
    </font>
    <font>
      <b/>
      <vertAlign val="superscript"/>
      <sz val="11"/>
      <color theme="0"/>
      <name val="Century Gothic"/>
      <family val="2"/>
    </font>
    <font>
      <sz val="11"/>
      <color rgb="FF000000"/>
      <name val="Century Gothic"/>
      <family val="2"/>
    </font>
    <font>
      <b/>
      <vertAlign val="superscript"/>
      <sz val="11"/>
      <color theme="1"/>
      <name val="Century Gothic"/>
      <family val="2"/>
    </font>
    <font>
      <b/>
      <sz val="18"/>
      <color theme="1"/>
      <name val="Century Gothic"/>
      <family val="1"/>
    </font>
    <font>
      <sz val="16"/>
      <color theme="1"/>
      <name val="Century Gothic"/>
      <family val="1"/>
    </font>
    <font>
      <sz val="16"/>
      <color theme="1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rgb="FF3CC6AF"/>
        <bgColor indexed="64"/>
      </patternFill>
    </fill>
    <fill>
      <patternFill patternType="solid">
        <fgColor rgb="FF00A99D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2">
    <xf numFmtId="0" fontId="0" fillId="0" borderId="0" xfId="0"/>
    <xf numFmtId="0" fontId="2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17" fontId="5" fillId="0" borderId="6" xfId="0" applyNumberFormat="1" applyFont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17" fontId="2" fillId="0" borderId="23" xfId="0" applyNumberFormat="1" applyFont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17" fontId="2" fillId="0" borderId="29" xfId="0" applyNumberFormat="1" applyFont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17" fontId="2" fillId="0" borderId="4" xfId="0" applyNumberFormat="1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 wrapText="1"/>
    </xf>
    <xf numFmtId="9" fontId="2" fillId="0" borderId="8" xfId="0" applyNumberFormat="1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9" fontId="2" fillId="0" borderId="5" xfId="0" applyNumberFormat="1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6" xfId="0" applyFont="1" applyBorder="1" applyAlignment="1">
      <alignment wrapText="1"/>
    </xf>
    <xf numFmtId="0" fontId="2" fillId="0" borderId="8" xfId="0" applyFont="1" applyBorder="1" applyAlignment="1">
      <alignment horizontal="justify" vertical="center" wrapText="1"/>
    </xf>
    <xf numFmtId="0" fontId="2" fillId="0" borderId="4" xfId="0" applyFont="1" applyBorder="1" applyAlignment="1">
      <alignment wrapText="1"/>
    </xf>
    <xf numFmtId="0" fontId="2" fillId="0" borderId="0" xfId="0" applyFont="1"/>
    <xf numFmtId="0" fontId="5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3" fontId="5" fillId="0" borderId="7" xfId="0" applyNumberFormat="1" applyFont="1" applyBorder="1" applyAlignment="1">
      <alignment horizontal="center" vertical="center"/>
    </xf>
    <xf numFmtId="165" fontId="5" fillId="0" borderId="8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67" fontId="2" fillId="0" borderId="5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166" fontId="2" fillId="0" borderId="5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64" fontId="2" fillId="0" borderId="5" xfId="1" applyNumberFormat="1" applyFont="1" applyBorder="1" applyAlignment="1">
      <alignment horizontal="center"/>
    </xf>
    <xf numFmtId="4" fontId="5" fillId="0" borderId="8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 vertical="center"/>
    </xf>
    <xf numFmtId="164" fontId="2" fillId="0" borderId="5" xfId="1" applyNumberFormat="1" applyFont="1" applyBorder="1" applyAlignment="1">
      <alignment horizontal="center" vertical="center"/>
    </xf>
    <xf numFmtId="11" fontId="5" fillId="0" borderId="8" xfId="0" applyNumberFormat="1" applyFont="1" applyBorder="1" applyAlignment="1">
      <alignment horizontal="center" vertical="center"/>
    </xf>
    <xf numFmtId="11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0" xfId="0" applyFont="1" applyBorder="1"/>
    <xf numFmtId="0" fontId="5" fillId="4" borderId="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164" fontId="2" fillId="0" borderId="0" xfId="1" applyNumberFormat="1" applyFont="1" applyAlignment="1">
      <alignment horizontal="center"/>
    </xf>
    <xf numFmtId="2" fontId="2" fillId="0" borderId="8" xfId="0" applyNumberFormat="1" applyFont="1" applyBorder="1" applyAlignment="1">
      <alignment horizontal="center"/>
    </xf>
    <xf numFmtId="0" fontId="2" fillId="4" borderId="14" xfId="0" applyFont="1" applyFill="1" applyBorder="1" applyAlignment="1">
      <alignment horizontal="center"/>
    </xf>
    <xf numFmtId="2" fontId="2" fillId="4" borderId="26" xfId="0" applyNumberFormat="1" applyFont="1" applyFill="1" applyBorder="1" applyAlignment="1">
      <alignment horizontal="center"/>
    </xf>
    <xf numFmtId="166" fontId="2" fillId="0" borderId="0" xfId="0" applyNumberFormat="1" applyFont="1" applyBorder="1" applyAlignment="1">
      <alignment horizontal="center"/>
    </xf>
    <xf numFmtId="2" fontId="2" fillId="0" borderId="5" xfId="0" applyNumberFormat="1" applyFont="1" applyFill="1" applyBorder="1" applyAlignment="1">
      <alignment horizontal="center"/>
    </xf>
    <xf numFmtId="0" fontId="5" fillId="0" borderId="0" xfId="0" applyFont="1" applyBorder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justify" vertical="center"/>
    </xf>
    <xf numFmtId="0" fontId="4" fillId="3" borderId="35" xfId="0" applyFont="1" applyFill="1" applyBorder="1" applyAlignment="1">
      <alignment horizontal="left" vertical="center" wrapText="1"/>
    </xf>
    <xf numFmtId="0" fontId="4" fillId="3" borderId="36" xfId="0" applyFont="1" applyFill="1" applyBorder="1" applyAlignment="1">
      <alignment horizontal="left" vertical="center" wrapText="1"/>
    </xf>
    <xf numFmtId="0" fontId="4" fillId="3" borderId="37" xfId="0" applyFont="1" applyFill="1" applyBorder="1" applyAlignment="1">
      <alignment horizontal="left" vertical="center" wrapText="1"/>
    </xf>
    <xf numFmtId="3" fontId="2" fillId="0" borderId="4" xfId="0" applyNumberFormat="1" applyFont="1" applyFill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3" fontId="2" fillId="0" borderId="34" xfId="0" applyNumberFormat="1" applyFont="1" applyBorder="1" applyAlignment="1">
      <alignment horizontal="center"/>
    </xf>
    <xf numFmtId="164" fontId="5" fillId="4" borderId="25" xfId="1" applyNumberFormat="1" applyFont="1" applyFill="1" applyBorder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4" fontId="2" fillId="0" borderId="18" xfId="0" applyNumberFormat="1" applyFont="1" applyBorder="1" applyAlignment="1">
      <alignment horizontal="center" vertical="center"/>
    </xf>
    <xf numFmtId="4" fontId="2" fillId="0" borderId="19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4" xfId="0" applyFont="1" applyFill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" fontId="2" fillId="4" borderId="7" xfId="0" applyNumberFormat="1" applyFont="1" applyFill="1" applyBorder="1" applyAlignment="1">
      <alignment horizontal="center" vertical="center"/>
    </xf>
    <xf numFmtId="4" fontId="2" fillId="4" borderId="20" xfId="0" applyNumberFormat="1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17" fontId="2" fillId="0" borderId="4" xfId="0" applyNumberFormat="1" applyFont="1" applyBorder="1" applyAlignment="1">
      <alignment horizontal="center" vertical="center" wrapText="1"/>
    </xf>
    <xf numFmtId="17" fontId="2" fillId="0" borderId="1" xfId="0" applyNumberFormat="1" applyFont="1" applyBorder="1" applyAlignment="1">
      <alignment horizontal="center" vertical="center" wrapText="1"/>
    </xf>
    <xf numFmtId="17" fontId="2" fillId="0" borderId="6" xfId="0" applyNumberFormat="1" applyFont="1" applyBorder="1" applyAlignment="1">
      <alignment horizontal="center" vertical="center" wrapText="1"/>
    </xf>
    <xf numFmtId="17" fontId="2" fillId="0" borderId="7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0" fontId="4" fillId="2" borderId="12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7" fillId="0" borderId="5" xfId="0" applyNumberFormat="1" applyFont="1" applyBorder="1" applyAlignment="1">
      <alignment horizontal="center" vertical="center" wrapText="1"/>
    </xf>
    <xf numFmtId="3" fontId="7" fillId="0" borderId="27" xfId="0" applyNumberFormat="1" applyFont="1" applyBorder="1" applyAlignment="1">
      <alignment horizontal="center" vertical="center" wrapText="1"/>
    </xf>
    <xf numFmtId="3" fontId="7" fillId="0" borderId="28" xfId="0" applyNumberFormat="1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3CC6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203731</xdr:colOff>
      <xdr:row>0</xdr:row>
      <xdr:rowOff>63501</xdr:rowOff>
    </xdr:from>
    <xdr:to>
      <xdr:col>7</xdr:col>
      <xdr:colOff>708796</xdr:colOff>
      <xdr:row>7</xdr:row>
      <xdr:rowOff>63501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5327822-AB4C-453A-A984-64ABF15D0E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70981" y="63501"/>
          <a:ext cx="1282940" cy="1333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AF7CF-30BD-4689-8139-A421D75A1C16}">
  <dimension ref="A15:H22"/>
  <sheetViews>
    <sheetView tabSelected="1" view="pageLayout" zoomScale="70" zoomScaleNormal="100" zoomScalePageLayoutView="70" workbookViewId="0">
      <selection activeCell="A15" sqref="A15:H15"/>
    </sheetView>
  </sheetViews>
  <sheetFormatPr baseColWidth="10" defaultRowHeight="14.5" x14ac:dyDescent="0.35"/>
  <sheetData>
    <row r="15" spans="1:8" ht="44" customHeight="1" x14ac:dyDescent="0.35">
      <c r="A15" s="89" t="s">
        <v>79</v>
      </c>
      <c r="B15" s="89"/>
      <c r="C15" s="89"/>
      <c r="D15" s="89"/>
      <c r="E15" s="89"/>
      <c r="F15" s="89"/>
      <c r="G15" s="89"/>
      <c r="H15" s="89"/>
    </row>
    <row r="18" spans="1:8" ht="54" customHeight="1" x14ac:dyDescent="0.35">
      <c r="A18" s="89" t="s">
        <v>74</v>
      </c>
      <c r="B18" s="89"/>
      <c r="C18" s="89"/>
      <c r="D18" s="89"/>
      <c r="E18" s="89"/>
      <c r="F18" s="89"/>
      <c r="G18" s="89"/>
      <c r="H18" s="89"/>
    </row>
    <row r="19" spans="1:8" ht="22.5" x14ac:dyDescent="0.35">
      <c r="E19" s="80"/>
    </row>
    <row r="20" spans="1:8" ht="19.5" customHeight="1" x14ac:dyDescent="0.35">
      <c r="A20" s="90" t="s">
        <v>75</v>
      </c>
      <c r="B20" s="90"/>
      <c r="C20" s="90"/>
      <c r="D20" s="90"/>
      <c r="E20" s="90"/>
      <c r="F20" s="90"/>
      <c r="G20" s="90"/>
      <c r="H20" s="90"/>
    </row>
    <row r="21" spans="1:8" ht="22.5" x14ac:dyDescent="0.35">
      <c r="E21" s="81"/>
    </row>
    <row r="22" spans="1:8" ht="20.5" x14ac:dyDescent="0.35">
      <c r="A22" s="91" t="s">
        <v>76</v>
      </c>
      <c r="B22" s="91"/>
      <c r="C22" s="91"/>
      <c r="D22" s="91"/>
      <c r="E22" s="91"/>
      <c r="F22" s="91"/>
      <c r="G22" s="91"/>
      <c r="H22" s="91"/>
    </row>
  </sheetData>
  <mergeCells count="4">
    <mergeCell ref="A15:H15"/>
    <mergeCell ref="A18:H18"/>
    <mergeCell ref="A20:H20"/>
    <mergeCell ref="A22:H22"/>
  </mergeCells>
  <pageMargins left="0.7" right="0.7" top="0.75" bottom="0.75" header="0.3" footer="0.3"/>
  <pageSetup paperSize="9" orientation="portrait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67B71-20D8-4B5D-8FFB-5E75ADB7D1EC}">
  <dimension ref="A1:C28"/>
  <sheetViews>
    <sheetView view="pageLayout" zoomScale="70" zoomScaleNormal="70" zoomScalePageLayoutView="70" workbookViewId="0">
      <selection activeCell="F12" sqref="F12"/>
    </sheetView>
  </sheetViews>
  <sheetFormatPr baseColWidth="10" defaultRowHeight="14.5" x14ac:dyDescent="0.35"/>
  <cols>
    <col min="1" max="1" width="54" customWidth="1"/>
    <col min="2" max="2" width="19.7265625" style="1" customWidth="1"/>
    <col min="4" max="4" width="4.90625" customWidth="1"/>
  </cols>
  <sheetData>
    <row r="1" spans="1:3" x14ac:dyDescent="0.35">
      <c r="A1" s="35" t="s">
        <v>70</v>
      </c>
    </row>
    <row r="2" spans="1:3" ht="15" thickBot="1" x14ac:dyDescent="0.4"/>
    <row r="3" spans="1:3" x14ac:dyDescent="0.35">
      <c r="A3" s="92" t="s">
        <v>56</v>
      </c>
      <c r="B3" s="93"/>
      <c r="C3" s="94"/>
    </row>
    <row r="4" spans="1:3" ht="28" x14ac:dyDescent="0.35">
      <c r="A4" s="23" t="s">
        <v>8</v>
      </c>
      <c r="B4" s="3" t="s">
        <v>13</v>
      </c>
      <c r="C4" s="24" t="s">
        <v>14</v>
      </c>
    </row>
    <row r="5" spans="1:3" ht="15" thickBot="1" x14ac:dyDescent="0.4">
      <c r="A5" s="25" t="s">
        <v>17</v>
      </c>
      <c r="B5" s="26" t="s">
        <v>9</v>
      </c>
      <c r="C5" s="27">
        <f>(75*1.25-75)/100</f>
        <v>0.1875</v>
      </c>
    </row>
    <row r="6" spans="1:3" ht="15" thickBot="1" x14ac:dyDescent="0.4"/>
    <row r="7" spans="1:3" x14ac:dyDescent="0.35">
      <c r="A7" s="92" t="s">
        <v>57</v>
      </c>
      <c r="B7" s="93"/>
      <c r="C7" s="94"/>
    </row>
    <row r="8" spans="1:3" ht="28" x14ac:dyDescent="0.35">
      <c r="A8" s="23" t="s">
        <v>8</v>
      </c>
      <c r="B8" s="3" t="s">
        <v>13</v>
      </c>
      <c r="C8" s="24" t="s">
        <v>14</v>
      </c>
    </row>
    <row r="9" spans="1:3" ht="40.5" x14ac:dyDescent="0.35">
      <c r="A9" s="28" t="s">
        <v>7</v>
      </c>
      <c r="B9" s="2" t="s">
        <v>9</v>
      </c>
      <c r="C9" s="29">
        <v>0.9</v>
      </c>
    </row>
    <row r="10" spans="1:3" ht="40.5" x14ac:dyDescent="0.35">
      <c r="A10" s="28" t="s">
        <v>6</v>
      </c>
      <c r="B10" s="2" t="s">
        <v>9</v>
      </c>
      <c r="C10" s="29">
        <v>0.5</v>
      </c>
    </row>
    <row r="11" spans="1:3" ht="27" x14ac:dyDescent="0.35">
      <c r="A11" s="28" t="s">
        <v>5</v>
      </c>
      <c r="B11" s="2" t="s">
        <v>9</v>
      </c>
      <c r="C11" s="29">
        <v>0.75</v>
      </c>
    </row>
    <row r="12" spans="1:3" ht="54" x14ac:dyDescent="0.35">
      <c r="A12" s="28" t="s">
        <v>4</v>
      </c>
      <c r="B12" s="2" t="s">
        <v>10</v>
      </c>
      <c r="C12" s="30" t="s">
        <v>15</v>
      </c>
    </row>
    <row r="13" spans="1:3" ht="54" x14ac:dyDescent="0.35">
      <c r="A13" s="28" t="s">
        <v>3</v>
      </c>
      <c r="B13" s="2" t="s">
        <v>11</v>
      </c>
      <c r="C13" s="30" t="s">
        <v>15</v>
      </c>
    </row>
    <row r="14" spans="1:3" ht="27" x14ac:dyDescent="0.35">
      <c r="A14" s="28" t="s">
        <v>2</v>
      </c>
      <c r="B14" s="2" t="s">
        <v>11</v>
      </c>
      <c r="C14" s="30" t="s">
        <v>15</v>
      </c>
    </row>
    <row r="15" spans="1:3" ht="40.5" x14ac:dyDescent="0.35">
      <c r="A15" s="28" t="s">
        <v>1</v>
      </c>
      <c r="B15" s="2" t="s">
        <v>9</v>
      </c>
      <c r="C15" s="29">
        <v>0.3</v>
      </c>
    </row>
    <row r="16" spans="1:3" ht="42" thickBot="1" x14ac:dyDescent="0.4">
      <c r="A16" s="31" t="s">
        <v>0</v>
      </c>
      <c r="B16" s="26" t="s">
        <v>12</v>
      </c>
      <c r="C16" s="32" t="s">
        <v>15</v>
      </c>
    </row>
    <row r="17" spans="1:3" ht="15" thickBot="1" x14ac:dyDescent="0.4"/>
    <row r="18" spans="1:3" x14ac:dyDescent="0.35">
      <c r="A18" s="92" t="s">
        <v>58</v>
      </c>
      <c r="B18" s="93"/>
      <c r="C18" s="94"/>
    </row>
    <row r="19" spans="1:3" ht="28" x14ac:dyDescent="0.35">
      <c r="A19" s="23" t="s">
        <v>8</v>
      </c>
      <c r="B19" s="3" t="s">
        <v>13</v>
      </c>
      <c r="C19" s="24" t="s">
        <v>14</v>
      </c>
    </row>
    <row r="20" spans="1:3" ht="40.5" x14ac:dyDescent="0.35">
      <c r="A20" s="28" t="s">
        <v>7</v>
      </c>
      <c r="B20" s="2" t="s">
        <v>9</v>
      </c>
      <c r="C20" s="29">
        <v>0.9</v>
      </c>
    </row>
    <row r="21" spans="1:3" ht="40.5" x14ac:dyDescent="0.35">
      <c r="A21" s="28" t="s">
        <v>6</v>
      </c>
      <c r="B21" s="2" t="s">
        <v>9</v>
      </c>
      <c r="C21" s="29">
        <v>0.5</v>
      </c>
    </row>
    <row r="22" spans="1:3" ht="27" x14ac:dyDescent="0.35">
      <c r="A22" s="28" t="s">
        <v>5</v>
      </c>
      <c r="B22" s="2" t="s">
        <v>9</v>
      </c>
      <c r="C22" s="29">
        <v>0.75</v>
      </c>
    </row>
    <row r="23" spans="1:3" ht="54" x14ac:dyDescent="0.35">
      <c r="A23" s="28" t="s">
        <v>4</v>
      </c>
      <c r="B23" s="2" t="s">
        <v>10</v>
      </c>
      <c r="C23" s="30" t="s">
        <v>15</v>
      </c>
    </row>
    <row r="24" spans="1:3" ht="54" x14ac:dyDescent="0.35">
      <c r="A24" s="28" t="s">
        <v>3</v>
      </c>
      <c r="B24" s="2" t="s">
        <v>11</v>
      </c>
      <c r="C24" s="30" t="s">
        <v>15</v>
      </c>
    </row>
    <row r="25" spans="1:3" ht="27" x14ac:dyDescent="0.35">
      <c r="A25" s="28" t="s">
        <v>2</v>
      </c>
      <c r="B25" s="2" t="s">
        <v>11</v>
      </c>
      <c r="C25" s="30" t="s">
        <v>15</v>
      </c>
    </row>
    <row r="26" spans="1:3" ht="40.5" x14ac:dyDescent="0.35">
      <c r="A26" s="28" t="s">
        <v>1</v>
      </c>
      <c r="B26" s="2" t="s">
        <v>9</v>
      </c>
      <c r="C26" s="29">
        <v>0.99</v>
      </c>
    </row>
    <row r="27" spans="1:3" ht="41.5" x14ac:dyDescent="0.35">
      <c r="A27" s="33" t="s">
        <v>0</v>
      </c>
      <c r="B27" s="2" t="s">
        <v>12</v>
      </c>
      <c r="C27" s="30" t="s">
        <v>15</v>
      </c>
    </row>
    <row r="28" spans="1:3" ht="28.5" thickBot="1" x14ac:dyDescent="0.4">
      <c r="A28" s="31" t="s">
        <v>16</v>
      </c>
      <c r="B28" s="26" t="s">
        <v>12</v>
      </c>
      <c r="C28" s="32" t="s">
        <v>15</v>
      </c>
    </row>
  </sheetData>
  <mergeCells count="3">
    <mergeCell ref="A7:C7"/>
    <mergeCell ref="A18:C18"/>
    <mergeCell ref="A3:C3"/>
  </mergeCells>
  <pageMargins left="0.7" right="0.7" top="0.75" bottom="0.75" header="0.3" footer="0.3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A1B52-7C34-4EF2-BB02-9AF804DE7ADF}">
  <dimension ref="A1:H39"/>
  <sheetViews>
    <sheetView view="pageLayout" zoomScale="70" zoomScaleNormal="70" zoomScalePageLayoutView="70" workbookViewId="0">
      <selection activeCell="A4" sqref="A4:C4"/>
    </sheetView>
  </sheetViews>
  <sheetFormatPr baseColWidth="10" defaultRowHeight="13.5" x14ac:dyDescent="0.25"/>
  <cols>
    <col min="1" max="1" width="22.54296875" style="34" bestFit="1" customWidth="1"/>
    <col min="2" max="2" width="15" style="34" bestFit="1" customWidth="1"/>
    <col min="3" max="3" width="17.7265625" style="34" customWidth="1"/>
    <col min="4" max="4" width="18.26953125" style="34" customWidth="1"/>
    <col min="5" max="5" width="10.6328125" style="34" bestFit="1" customWidth="1"/>
    <col min="6" max="16384" width="10.90625" style="34"/>
  </cols>
  <sheetData>
    <row r="1" spans="1:8" ht="14" x14ac:dyDescent="0.3">
      <c r="A1" s="35" t="s">
        <v>69</v>
      </c>
    </row>
    <row r="2" spans="1:8" ht="14" thickBot="1" x14ac:dyDescent="0.3"/>
    <row r="3" spans="1:8" ht="14.5" thickBot="1" x14ac:dyDescent="0.35">
      <c r="A3" s="99" t="s">
        <v>31</v>
      </c>
      <c r="B3" s="100"/>
      <c r="C3" s="100"/>
      <c r="D3" s="100"/>
      <c r="E3" s="101"/>
    </row>
    <row r="4" spans="1:8" ht="14" x14ac:dyDescent="0.25">
      <c r="A4" s="106" t="s">
        <v>78</v>
      </c>
      <c r="B4" s="107"/>
      <c r="C4" s="108"/>
      <c r="D4" s="20" t="s">
        <v>37</v>
      </c>
      <c r="E4" s="18" t="s">
        <v>25</v>
      </c>
    </row>
    <row r="5" spans="1:8" ht="16.5" x14ac:dyDescent="0.25">
      <c r="A5" s="5" t="s">
        <v>18</v>
      </c>
      <c r="B5" s="4" t="s">
        <v>59</v>
      </c>
      <c r="C5" s="6" t="s">
        <v>60</v>
      </c>
      <c r="D5" s="36" t="s">
        <v>26</v>
      </c>
      <c r="E5" s="37">
        <v>0.95299999999999996</v>
      </c>
    </row>
    <row r="6" spans="1:8" x14ac:dyDescent="0.25">
      <c r="A6" s="36" t="s">
        <v>19</v>
      </c>
      <c r="B6" s="38">
        <v>17000</v>
      </c>
      <c r="C6" s="39">
        <f>B6/10000</f>
        <v>1.7</v>
      </c>
      <c r="D6" s="36" t="s">
        <v>27</v>
      </c>
      <c r="E6" s="37">
        <v>8.5</v>
      </c>
    </row>
    <row r="7" spans="1:8" ht="14" thickBot="1" x14ac:dyDescent="0.3">
      <c r="A7" s="36" t="s">
        <v>20</v>
      </c>
      <c r="B7" s="38">
        <f>170*5</f>
        <v>850</v>
      </c>
      <c r="C7" s="39">
        <f t="shared" ref="C7:C11" si="0">B7/10000</f>
        <v>8.5000000000000006E-2</v>
      </c>
      <c r="D7" s="40" t="s">
        <v>38</v>
      </c>
      <c r="E7" s="41">
        <v>15.8</v>
      </c>
    </row>
    <row r="8" spans="1:8" ht="14" x14ac:dyDescent="0.25">
      <c r="A8" s="36" t="s">
        <v>21</v>
      </c>
      <c r="B8" s="38">
        <f>100*5</f>
        <v>500</v>
      </c>
      <c r="C8" s="39">
        <f t="shared" si="0"/>
        <v>0.05</v>
      </c>
      <c r="D8" s="20" t="s">
        <v>28</v>
      </c>
      <c r="E8" s="42">
        <f>E5*(E6/1.5)*(E7/15)</f>
        <v>5.6883511111111114</v>
      </c>
    </row>
    <row r="9" spans="1:8" ht="14" x14ac:dyDescent="0.25">
      <c r="A9" s="36" t="s">
        <v>22</v>
      </c>
      <c r="B9" s="38">
        <f>170*5</f>
        <v>850</v>
      </c>
      <c r="C9" s="39">
        <f t="shared" si="0"/>
        <v>8.5000000000000006E-2</v>
      </c>
      <c r="D9" s="7" t="s">
        <v>29</v>
      </c>
      <c r="E9" s="43">
        <f>C6+(SUM(C7:C10)/2)</f>
        <v>1.835</v>
      </c>
    </row>
    <row r="10" spans="1:8" ht="14.5" thickBot="1" x14ac:dyDescent="0.3">
      <c r="A10" s="36" t="s">
        <v>23</v>
      </c>
      <c r="B10" s="38">
        <f>100*5</f>
        <v>500</v>
      </c>
      <c r="C10" s="39">
        <f t="shared" si="0"/>
        <v>0.05</v>
      </c>
      <c r="D10" s="8" t="s">
        <v>30</v>
      </c>
      <c r="E10" s="44">
        <f>E8*E9</f>
        <v>10.43812428888889</v>
      </c>
    </row>
    <row r="11" spans="1:8" ht="14.5" thickBot="1" x14ac:dyDescent="0.3">
      <c r="A11" s="45" t="s">
        <v>24</v>
      </c>
      <c r="B11" s="46">
        <f>SUM(B6:B10)</f>
        <v>19700</v>
      </c>
      <c r="C11" s="47">
        <f t="shared" si="0"/>
        <v>1.97</v>
      </c>
    </row>
    <row r="12" spans="1:8" ht="14" thickBot="1" x14ac:dyDescent="0.3"/>
    <row r="13" spans="1:8" ht="14.5" thickBot="1" x14ac:dyDescent="0.35">
      <c r="A13" s="99" t="s">
        <v>36</v>
      </c>
      <c r="B13" s="100"/>
      <c r="C13" s="100"/>
      <c r="D13" s="100"/>
      <c r="E13" s="101"/>
    </row>
    <row r="14" spans="1:8" ht="14.5" thickBot="1" x14ac:dyDescent="0.3">
      <c r="A14" s="109" t="s">
        <v>32</v>
      </c>
      <c r="B14" s="110"/>
      <c r="C14" s="111"/>
      <c r="D14" s="17" t="s">
        <v>37</v>
      </c>
      <c r="E14" s="19" t="s">
        <v>25</v>
      </c>
      <c r="F14" s="48"/>
      <c r="G14" s="48"/>
      <c r="H14" s="48"/>
    </row>
    <row r="15" spans="1:8" ht="28" customHeight="1" thickBot="1" x14ac:dyDescent="0.3">
      <c r="A15" s="17" t="s">
        <v>33</v>
      </c>
      <c r="B15" s="112" t="s">
        <v>61</v>
      </c>
      <c r="C15" s="113"/>
      <c r="D15" s="49" t="s">
        <v>26</v>
      </c>
      <c r="E15" s="50">
        <v>0.35</v>
      </c>
      <c r="F15" s="48"/>
      <c r="G15" s="48"/>
    </row>
    <row r="16" spans="1:8" x14ac:dyDescent="0.25">
      <c r="A16" s="22">
        <v>44044</v>
      </c>
      <c r="B16" s="95">
        <v>51544.41</v>
      </c>
      <c r="C16" s="96"/>
      <c r="D16" s="51" t="s">
        <v>34</v>
      </c>
      <c r="E16" s="37">
        <v>3.54</v>
      </c>
      <c r="F16" s="48"/>
      <c r="G16" s="52"/>
    </row>
    <row r="17" spans="1:8" x14ac:dyDescent="0.25">
      <c r="A17" s="22">
        <v>44075</v>
      </c>
      <c r="B17" s="114"/>
      <c r="C17" s="115"/>
      <c r="D17" s="53" t="s">
        <v>35</v>
      </c>
      <c r="E17" s="54">
        <v>5.4</v>
      </c>
      <c r="F17" s="48"/>
      <c r="G17" s="52"/>
    </row>
    <row r="18" spans="1:8" ht="14" x14ac:dyDescent="0.25">
      <c r="A18" s="22">
        <v>44105</v>
      </c>
      <c r="B18" s="95">
        <v>68107.75</v>
      </c>
      <c r="C18" s="96"/>
      <c r="D18" s="10" t="s">
        <v>40</v>
      </c>
      <c r="E18" s="55">
        <f>E15*(0.0016)*(((E16/2.2)^1.3)/((E17/2)^1.4))</f>
        <v>2.5872209111332627E-4</v>
      </c>
      <c r="F18" s="48"/>
      <c r="G18" s="52"/>
    </row>
    <row r="19" spans="1:8" ht="14" x14ac:dyDescent="0.25">
      <c r="A19" s="22">
        <v>44136</v>
      </c>
      <c r="B19" s="95">
        <v>103843.95</v>
      </c>
      <c r="C19" s="96"/>
      <c r="D19" s="10" t="s">
        <v>41</v>
      </c>
      <c r="E19" s="56">
        <f>SUM(B16:B21)</f>
        <v>300554.55</v>
      </c>
      <c r="F19" s="48"/>
      <c r="G19" s="52"/>
    </row>
    <row r="20" spans="1:8" ht="14" x14ac:dyDescent="0.25">
      <c r="A20" s="22">
        <v>44166</v>
      </c>
      <c r="B20" s="95">
        <v>48608.800000000003</v>
      </c>
      <c r="C20" s="96"/>
      <c r="D20" s="10" t="s">
        <v>42</v>
      </c>
      <c r="E20" s="57">
        <f>E18*E19</f>
        <v>77.760101669624774</v>
      </c>
      <c r="F20" s="48"/>
      <c r="G20" s="52"/>
    </row>
    <row r="21" spans="1:8" ht="14.5" thickBot="1" x14ac:dyDescent="0.3">
      <c r="A21" s="22">
        <v>44197</v>
      </c>
      <c r="B21" s="95">
        <v>28449.64</v>
      </c>
      <c r="C21" s="96"/>
      <c r="D21" s="11" t="s">
        <v>30</v>
      </c>
      <c r="E21" s="44">
        <f>+E20/B22</f>
        <v>0.42260924820448248</v>
      </c>
      <c r="F21" s="48"/>
      <c r="G21" s="52"/>
    </row>
    <row r="22" spans="1:8" ht="14.5" thickBot="1" x14ac:dyDescent="0.3">
      <c r="A22" s="9" t="s">
        <v>39</v>
      </c>
      <c r="B22" s="97">
        <f>31+30+31+30+31+31</f>
        <v>184</v>
      </c>
      <c r="C22" s="98"/>
      <c r="F22" s="48"/>
      <c r="G22" s="52"/>
    </row>
    <row r="23" spans="1:8" x14ac:dyDescent="0.25">
      <c r="C23" s="48"/>
      <c r="G23" s="52"/>
      <c r="H23" s="48"/>
    </row>
    <row r="24" spans="1:8" ht="14" thickBot="1" x14ac:dyDescent="0.3">
      <c r="C24" s="48"/>
      <c r="G24" s="52"/>
      <c r="H24" s="48"/>
    </row>
    <row r="25" spans="1:8" ht="15" customHeight="1" thickBot="1" x14ac:dyDescent="0.35">
      <c r="A25" s="99" t="s">
        <v>48</v>
      </c>
      <c r="B25" s="100"/>
      <c r="C25" s="100"/>
      <c r="D25" s="100"/>
      <c r="E25" s="101"/>
    </row>
    <row r="26" spans="1:8" ht="14.5" thickBot="1" x14ac:dyDescent="0.3">
      <c r="A26" s="20" t="s">
        <v>50</v>
      </c>
      <c r="B26" s="102">
        <v>0.65</v>
      </c>
      <c r="C26" s="103"/>
      <c r="D26" s="12" t="s">
        <v>49</v>
      </c>
      <c r="E26" s="13" t="s">
        <v>25</v>
      </c>
    </row>
    <row r="27" spans="1:8" ht="14.5" thickBot="1" x14ac:dyDescent="0.3">
      <c r="A27" s="8" t="s">
        <v>43</v>
      </c>
      <c r="B27" s="104">
        <v>54</v>
      </c>
      <c r="C27" s="105"/>
      <c r="D27" s="58" t="s">
        <v>44</v>
      </c>
      <c r="E27" s="59">
        <v>1.5</v>
      </c>
      <c r="G27" s="48"/>
    </row>
    <row r="28" spans="1:8" x14ac:dyDescent="0.25">
      <c r="D28" s="36" t="s">
        <v>45</v>
      </c>
      <c r="E28" s="37">
        <v>7.1</v>
      </c>
    </row>
    <row r="29" spans="1:8" x14ac:dyDescent="0.25">
      <c r="D29" s="36" t="s">
        <v>46</v>
      </c>
      <c r="E29" s="37">
        <v>28</v>
      </c>
    </row>
    <row r="30" spans="1:8" ht="14" x14ac:dyDescent="0.25">
      <c r="D30" s="7" t="s">
        <v>47</v>
      </c>
      <c r="E30" s="57">
        <f>E27*281.9*((E28/12)^0.9)*((E29/2.72)^0.45)</f>
        <v>752.87146084681967</v>
      </c>
    </row>
    <row r="31" spans="1:8" ht="14" x14ac:dyDescent="0.25">
      <c r="D31" s="7" t="s">
        <v>51</v>
      </c>
      <c r="E31" s="56">
        <f>B26*B27</f>
        <v>35.1</v>
      </c>
    </row>
    <row r="32" spans="1:8" ht="14" x14ac:dyDescent="0.25">
      <c r="A32" s="48"/>
      <c r="B32" s="48"/>
      <c r="D32" s="7" t="s">
        <v>14</v>
      </c>
      <c r="E32" s="60">
        <f>+Escenarios!C5</f>
        <v>0.1875</v>
      </c>
    </row>
    <row r="33" spans="1:5" ht="14.5" thickBot="1" x14ac:dyDescent="0.3">
      <c r="A33" s="48"/>
      <c r="B33" s="48"/>
      <c r="D33" s="8" t="s">
        <v>30</v>
      </c>
      <c r="E33" s="61">
        <f>E30*E31*(1-E32)/1000</f>
        <v>21.470952974025241</v>
      </c>
    </row>
    <row r="35" spans="1:5" ht="14" thickBot="1" x14ac:dyDescent="0.3"/>
    <row r="36" spans="1:5" ht="28" x14ac:dyDescent="0.25">
      <c r="A36" s="116" t="s">
        <v>66</v>
      </c>
      <c r="B36" s="117"/>
      <c r="C36" s="21" t="s">
        <v>54</v>
      </c>
      <c r="D36" s="15" t="s">
        <v>55</v>
      </c>
    </row>
    <row r="37" spans="1:5" x14ac:dyDescent="0.25">
      <c r="A37" s="118" t="s">
        <v>67</v>
      </c>
      <c r="B37" s="119"/>
      <c r="C37" s="62">
        <f>+E10*$B$22/1000</f>
        <v>1.9206148691555556</v>
      </c>
      <c r="D37" s="122">
        <f>SUM(C37:C39)</f>
        <v>5.9490303180458248</v>
      </c>
    </row>
    <row r="38" spans="1:5" x14ac:dyDescent="0.25">
      <c r="A38" s="118" t="s">
        <v>68</v>
      </c>
      <c r="B38" s="119"/>
      <c r="C38" s="62">
        <f>+E21*$B$22/1000</f>
        <v>7.776010166962477E-2</v>
      </c>
      <c r="D38" s="122"/>
    </row>
    <row r="39" spans="1:5" ht="28" customHeight="1" thickBot="1" x14ac:dyDescent="0.3">
      <c r="A39" s="120" t="s">
        <v>52</v>
      </c>
      <c r="B39" s="121"/>
      <c r="C39" s="63">
        <f>+E33*$B$22/1000</f>
        <v>3.950655347220644</v>
      </c>
      <c r="D39" s="123"/>
    </row>
  </sheetData>
  <mergeCells count="20">
    <mergeCell ref="A36:B36"/>
    <mergeCell ref="A37:B37"/>
    <mergeCell ref="A38:B38"/>
    <mergeCell ref="A39:B39"/>
    <mergeCell ref="D37:D39"/>
    <mergeCell ref="B20:C20"/>
    <mergeCell ref="A4:C4"/>
    <mergeCell ref="A3:E3"/>
    <mergeCell ref="A13:E13"/>
    <mergeCell ref="A14:C14"/>
    <mergeCell ref="B15:C15"/>
    <mergeCell ref="B16:C16"/>
    <mergeCell ref="B17:C17"/>
    <mergeCell ref="B18:C18"/>
    <mergeCell ref="B19:C19"/>
    <mergeCell ref="B21:C21"/>
    <mergeCell ref="B22:C22"/>
    <mergeCell ref="A25:E25"/>
    <mergeCell ref="B26:C26"/>
    <mergeCell ref="B27:C27"/>
  </mergeCells>
  <pageMargins left="0.7" right="0.7" top="0.75" bottom="0.75" header="0.3" footer="0.3"/>
  <pageSetup paperSize="9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89930-39DC-4FAD-8FFB-2E9073D09797}">
  <dimension ref="A1:H37"/>
  <sheetViews>
    <sheetView view="pageLayout" zoomScale="70" zoomScaleNormal="100" zoomScalePageLayoutView="70" workbookViewId="0">
      <selection activeCell="A4" sqref="A4:C4"/>
    </sheetView>
  </sheetViews>
  <sheetFormatPr baseColWidth="10" defaultRowHeight="13.5" x14ac:dyDescent="0.25"/>
  <cols>
    <col min="1" max="1" width="18.54296875" style="34" bestFit="1" customWidth="1"/>
    <col min="2" max="2" width="15.453125" style="34" customWidth="1"/>
    <col min="3" max="3" width="17.7265625" style="34" customWidth="1"/>
    <col min="4" max="4" width="15.453125" style="34" bestFit="1" customWidth="1"/>
    <col min="5" max="5" width="10.6328125" style="34" bestFit="1" customWidth="1"/>
    <col min="6" max="16384" width="10.90625" style="34"/>
  </cols>
  <sheetData>
    <row r="1" spans="1:8" ht="14" x14ac:dyDescent="0.3">
      <c r="A1" s="35" t="s">
        <v>71</v>
      </c>
    </row>
    <row r="2" spans="1:8" ht="14" thickBot="1" x14ac:dyDescent="0.3"/>
    <row r="3" spans="1:8" ht="14.5" thickBot="1" x14ac:dyDescent="0.35">
      <c r="A3" s="99" t="s">
        <v>31</v>
      </c>
      <c r="B3" s="100"/>
      <c r="C3" s="100"/>
      <c r="D3" s="100"/>
      <c r="E3" s="101"/>
    </row>
    <row r="4" spans="1:8" ht="14" x14ac:dyDescent="0.25">
      <c r="A4" s="106" t="s">
        <v>78</v>
      </c>
      <c r="B4" s="107"/>
      <c r="C4" s="108"/>
      <c r="D4" s="20" t="s">
        <v>37</v>
      </c>
      <c r="E4" s="18" t="s">
        <v>25</v>
      </c>
    </row>
    <row r="5" spans="1:8" ht="16.5" x14ac:dyDescent="0.25">
      <c r="A5" s="5" t="s">
        <v>18</v>
      </c>
      <c r="B5" s="4" t="s">
        <v>59</v>
      </c>
      <c r="C5" s="6" t="s">
        <v>60</v>
      </c>
      <c r="D5" s="36" t="s">
        <v>26</v>
      </c>
      <c r="E5" s="37">
        <v>0.95299999999999996</v>
      </c>
    </row>
    <row r="6" spans="1:8" x14ac:dyDescent="0.25">
      <c r="A6" s="36" t="s">
        <v>19</v>
      </c>
      <c r="B6" s="38">
        <v>11400</v>
      </c>
      <c r="C6" s="39">
        <f>B6/10000</f>
        <v>1.1399999999999999</v>
      </c>
      <c r="D6" s="36" t="s">
        <v>27</v>
      </c>
      <c r="E6" s="37">
        <v>8.5</v>
      </c>
    </row>
    <row r="7" spans="1:8" ht="14" thickBot="1" x14ac:dyDescent="0.3">
      <c r="A7" s="36" t="s">
        <v>20</v>
      </c>
      <c r="B7" s="38">
        <f>170*5</f>
        <v>850</v>
      </c>
      <c r="C7" s="39">
        <f t="shared" ref="C7:C11" si="0">B7/10000</f>
        <v>8.5000000000000006E-2</v>
      </c>
      <c r="D7" s="40" t="s">
        <v>38</v>
      </c>
      <c r="E7" s="41">
        <v>15.8</v>
      </c>
    </row>
    <row r="8" spans="1:8" ht="14" x14ac:dyDescent="0.25">
      <c r="A8" s="36" t="s">
        <v>21</v>
      </c>
      <c r="B8" s="38">
        <f>100*5</f>
        <v>500</v>
      </c>
      <c r="C8" s="39">
        <f t="shared" si="0"/>
        <v>0.05</v>
      </c>
      <c r="D8" s="20" t="s">
        <v>28</v>
      </c>
      <c r="E8" s="42">
        <f>E5*(E6/1.5)*(E7/15)</f>
        <v>5.6883511111111114</v>
      </c>
    </row>
    <row r="9" spans="1:8" ht="14" x14ac:dyDescent="0.25">
      <c r="A9" s="36" t="s">
        <v>22</v>
      </c>
      <c r="B9" s="38">
        <f>170*5</f>
        <v>850</v>
      </c>
      <c r="C9" s="39">
        <f t="shared" si="0"/>
        <v>8.5000000000000006E-2</v>
      </c>
      <c r="D9" s="7" t="s">
        <v>53</v>
      </c>
      <c r="E9" s="43">
        <f>C6+(SUM(C7:C10)/2)</f>
        <v>1.2749999999999999</v>
      </c>
    </row>
    <row r="10" spans="1:8" ht="14" x14ac:dyDescent="0.25">
      <c r="A10" s="36" t="s">
        <v>23</v>
      </c>
      <c r="B10" s="38">
        <f>100*5</f>
        <v>500</v>
      </c>
      <c r="C10" s="39">
        <f t="shared" si="0"/>
        <v>0.05</v>
      </c>
      <c r="D10" s="7" t="s">
        <v>14</v>
      </c>
      <c r="E10" s="64">
        <f>1-(1-Escenarios!C10)*(1-Escenarios!C11)*(1-Escenarios!C15)</f>
        <v>0.91249999999999998</v>
      </c>
    </row>
    <row r="11" spans="1:8" ht="14.5" thickBot="1" x14ac:dyDescent="0.3">
      <c r="A11" s="45" t="s">
        <v>24</v>
      </c>
      <c r="B11" s="46">
        <f>SUM(B6:B10)</f>
        <v>14100</v>
      </c>
      <c r="C11" s="47">
        <f t="shared" si="0"/>
        <v>1.41</v>
      </c>
      <c r="D11" s="8" t="s">
        <v>30</v>
      </c>
      <c r="E11" s="44">
        <f>E8*E9*(1-E10)</f>
        <v>0.63460667083333344</v>
      </c>
    </row>
    <row r="12" spans="1:8" ht="14" thickBot="1" x14ac:dyDescent="0.3"/>
    <row r="13" spans="1:8" ht="14.5" thickBot="1" x14ac:dyDescent="0.35">
      <c r="A13" s="99" t="s">
        <v>36</v>
      </c>
      <c r="B13" s="100"/>
      <c r="C13" s="100"/>
      <c r="D13" s="124"/>
      <c r="E13" s="124"/>
    </row>
    <row r="14" spans="1:8" ht="14.5" thickBot="1" x14ac:dyDescent="0.3">
      <c r="A14" s="109" t="s">
        <v>32</v>
      </c>
      <c r="B14" s="110"/>
      <c r="C14" s="111"/>
      <c r="D14" s="17" t="s">
        <v>37</v>
      </c>
      <c r="E14" s="19" t="s">
        <v>25</v>
      </c>
      <c r="F14" s="48"/>
      <c r="G14" s="48"/>
      <c r="H14" s="48"/>
    </row>
    <row r="15" spans="1:8" ht="28" customHeight="1" thickBot="1" x14ac:dyDescent="0.3">
      <c r="A15" s="17" t="s">
        <v>33</v>
      </c>
      <c r="B15" s="112" t="s">
        <v>61</v>
      </c>
      <c r="C15" s="113"/>
      <c r="D15" s="49" t="s">
        <v>26</v>
      </c>
      <c r="E15" s="50">
        <v>0.35</v>
      </c>
      <c r="F15" s="48"/>
      <c r="G15" s="48"/>
    </row>
    <row r="16" spans="1:8" x14ac:dyDescent="0.25">
      <c r="A16" s="14">
        <v>44228</v>
      </c>
      <c r="B16" s="125"/>
      <c r="C16" s="126"/>
      <c r="D16" s="51" t="s">
        <v>34</v>
      </c>
      <c r="E16" s="37">
        <v>3.54</v>
      </c>
      <c r="F16" s="48"/>
      <c r="G16" s="52"/>
    </row>
    <row r="17" spans="1:8" x14ac:dyDescent="0.25">
      <c r="A17" s="14">
        <v>44256</v>
      </c>
      <c r="B17" s="125"/>
      <c r="C17" s="126"/>
      <c r="D17" s="53" t="s">
        <v>35</v>
      </c>
      <c r="E17" s="54">
        <v>5.4</v>
      </c>
      <c r="F17" s="48"/>
      <c r="G17" s="52"/>
    </row>
    <row r="18" spans="1:8" ht="14" x14ac:dyDescent="0.25">
      <c r="A18" s="14">
        <v>44287</v>
      </c>
      <c r="B18" s="127">
        <v>18187.3</v>
      </c>
      <c r="C18" s="128"/>
      <c r="D18" s="10" t="s">
        <v>40</v>
      </c>
      <c r="E18" s="55">
        <f>E15*(0.0016)*(((E16/2.2)^1.3)/((E17/2)^1.4))</f>
        <v>2.5872209111332627E-4</v>
      </c>
      <c r="F18" s="48"/>
      <c r="G18" s="52"/>
    </row>
    <row r="19" spans="1:8" ht="14" x14ac:dyDescent="0.25">
      <c r="A19" s="14">
        <v>44317</v>
      </c>
      <c r="B19" s="127">
        <v>5563.09</v>
      </c>
      <c r="C19" s="128"/>
      <c r="D19" s="10" t="s">
        <v>41</v>
      </c>
      <c r="E19" s="56">
        <f>SUM(B16:B21)</f>
        <v>133504.16</v>
      </c>
      <c r="F19" s="48"/>
      <c r="G19" s="52"/>
    </row>
    <row r="20" spans="1:8" ht="14" x14ac:dyDescent="0.25">
      <c r="A20" s="14">
        <v>44348</v>
      </c>
      <c r="B20" s="127">
        <v>71171.31</v>
      </c>
      <c r="C20" s="128"/>
      <c r="D20" s="10" t="s">
        <v>42</v>
      </c>
      <c r="E20" s="57">
        <f>E18*E19</f>
        <v>34.540475447528088</v>
      </c>
      <c r="F20" s="48"/>
      <c r="G20" s="52"/>
    </row>
    <row r="21" spans="1:8" ht="14.5" thickBot="1" x14ac:dyDescent="0.3">
      <c r="A21" s="14">
        <v>44378</v>
      </c>
      <c r="B21" s="127">
        <v>38582.46</v>
      </c>
      <c r="C21" s="128"/>
      <c r="D21" s="11" t="s">
        <v>30</v>
      </c>
      <c r="E21" s="44">
        <f>+E20/B22</f>
        <v>0.18978283212927521</v>
      </c>
      <c r="F21" s="48"/>
      <c r="G21" s="52"/>
    </row>
    <row r="22" spans="1:8" ht="14.5" thickBot="1" x14ac:dyDescent="0.3">
      <c r="A22" s="9" t="s">
        <v>39</v>
      </c>
      <c r="B22" s="97">
        <f>29+31+30+31+30+31</f>
        <v>182</v>
      </c>
      <c r="C22" s="98"/>
      <c r="F22" s="48"/>
      <c r="G22" s="52"/>
    </row>
    <row r="23" spans="1:8" ht="14" thickBot="1" x14ac:dyDescent="0.3">
      <c r="C23" s="48"/>
      <c r="G23" s="52"/>
      <c r="H23" s="48"/>
    </row>
    <row r="24" spans="1:8" ht="15" customHeight="1" thickBot="1" x14ac:dyDescent="0.35">
      <c r="A24" s="99" t="s">
        <v>48</v>
      </c>
      <c r="B24" s="100"/>
      <c r="C24" s="100"/>
      <c r="D24" s="100"/>
      <c r="E24" s="101"/>
    </row>
    <row r="25" spans="1:8" ht="31.5" customHeight="1" thickBot="1" x14ac:dyDescent="0.3">
      <c r="A25" s="20" t="s">
        <v>50</v>
      </c>
      <c r="B25" s="102">
        <v>0.65</v>
      </c>
      <c r="C25" s="103"/>
      <c r="D25" s="12" t="s">
        <v>49</v>
      </c>
      <c r="E25" s="13" t="s">
        <v>25</v>
      </c>
    </row>
    <row r="26" spans="1:8" ht="14.5" thickBot="1" x14ac:dyDescent="0.3">
      <c r="A26" s="8" t="s">
        <v>43</v>
      </c>
      <c r="B26" s="104">
        <v>54</v>
      </c>
      <c r="C26" s="105"/>
      <c r="D26" s="58" t="s">
        <v>44</v>
      </c>
      <c r="E26" s="59">
        <v>1.5</v>
      </c>
      <c r="G26" s="48"/>
    </row>
    <row r="27" spans="1:8" x14ac:dyDescent="0.25">
      <c r="D27" s="36" t="s">
        <v>45</v>
      </c>
      <c r="E27" s="37">
        <v>7.1</v>
      </c>
    </row>
    <row r="28" spans="1:8" x14ac:dyDescent="0.25">
      <c r="D28" s="36" t="s">
        <v>46</v>
      </c>
      <c r="E28" s="37">
        <v>28</v>
      </c>
    </row>
    <row r="29" spans="1:8" ht="14" x14ac:dyDescent="0.25">
      <c r="D29" s="7" t="s">
        <v>47</v>
      </c>
      <c r="E29" s="57">
        <f>E26*281.9*((E27/12)^0.9)*((E28/2.72)^0.45)</f>
        <v>752.87146084681967</v>
      </c>
    </row>
    <row r="30" spans="1:8" ht="14" x14ac:dyDescent="0.25">
      <c r="D30" s="7" t="s">
        <v>51</v>
      </c>
      <c r="E30" s="56">
        <f>B25*B26</f>
        <v>35.1</v>
      </c>
    </row>
    <row r="31" spans="1:8" ht="14" x14ac:dyDescent="0.25">
      <c r="A31" s="48"/>
      <c r="B31" s="48"/>
      <c r="D31" s="7" t="s">
        <v>14</v>
      </c>
      <c r="E31" s="60">
        <f>+Escenarios!C9</f>
        <v>0.9</v>
      </c>
    </row>
    <row r="32" spans="1:8" ht="14.5" thickBot="1" x14ac:dyDescent="0.3">
      <c r="A32" s="48"/>
      <c r="B32" s="48"/>
      <c r="D32" s="8" t="s">
        <v>30</v>
      </c>
      <c r="E32" s="61">
        <f>E29*E30*(1-E31)/1000</f>
        <v>2.6425788275723368</v>
      </c>
    </row>
    <row r="33" spans="1:4" ht="14" thickBot="1" x14ac:dyDescent="0.3"/>
    <row r="34" spans="1:4" ht="28" x14ac:dyDescent="0.25">
      <c r="A34" s="116" t="s">
        <v>66</v>
      </c>
      <c r="B34" s="117"/>
      <c r="C34" s="21" t="s">
        <v>54</v>
      </c>
      <c r="D34" s="15" t="s">
        <v>55</v>
      </c>
    </row>
    <row r="35" spans="1:4" x14ac:dyDescent="0.25">
      <c r="A35" s="118" t="s">
        <v>67</v>
      </c>
      <c r="B35" s="119"/>
      <c r="C35" s="62">
        <f>+E11*$B$22/1000</f>
        <v>0.1154984140916667</v>
      </c>
      <c r="D35" s="122">
        <f>SUM(C35:C37)</f>
        <v>0.63098823615736011</v>
      </c>
    </row>
    <row r="36" spans="1:4" x14ac:dyDescent="0.25">
      <c r="A36" s="118" t="s">
        <v>68</v>
      </c>
      <c r="B36" s="119"/>
      <c r="C36" s="62">
        <f>+E21*$B$22/1000</f>
        <v>3.4540475447528085E-2</v>
      </c>
      <c r="D36" s="122"/>
    </row>
    <row r="37" spans="1:4" ht="22.5" customHeight="1" thickBot="1" x14ac:dyDescent="0.3">
      <c r="A37" s="120" t="s">
        <v>52</v>
      </c>
      <c r="B37" s="121"/>
      <c r="C37" s="63">
        <f>+E32*$B$22/1000</f>
        <v>0.4809493466181653</v>
      </c>
      <c r="D37" s="123"/>
    </row>
  </sheetData>
  <mergeCells count="20">
    <mergeCell ref="A34:B34"/>
    <mergeCell ref="A35:B35"/>
    <mergeCell ref="A36:B36"/>
    <mergeCell ref="D35:D37"/>
    <mergeCell ref="A37:B37"/>
    <mergeCell ref="A24:E24"/>
    <mergeCell ref="B25:C25"/>
    <mergeCell ref="B26:C26"/>
    <mergeCell ref="B22:C22"/>
    <mergeCell ref="A3:E3"/>
    <mergeCell ref="A4:C4"/>
    <mergeCell ref="A13:E13"/>
    <mergeCell ref="A14:C14"/>
    <mergeCell ref="B15:C15"/>
    <mergeCell ref="B16:C16"/>
    <mergeCell ref="B17:C17"/>
    <mergeCell ref="B18:C18"/>
    <mergeCell ref="B19:C19"/>
    <mergeCell ref="B20:C20"/>
    <mergeCell ref="B21:C21"/>
  </mergeCells>
  <pageMargins left="0.7" right="0.7" top="0.75" bottom="0.75" header="0.3" footer="0.3"/>
  <pageSetup paperSize="9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1C6F0-13E4-4869-93B2-FCD91038004A}">
  <dimension ref="A1:I36"/>
  <sheetViews>
    <sheetView view="pageLayout" zoomScale="70" zoomScaleNormal="55" zoomScalePageLayoutView="70" workbookViewId="0">
      <selection activeCell="I23" sqref="I23"/>
    </sheetView>
  </sheetViews>
  <sheetFormatPr baseColWidth="10" defaultRowHeight="13.5" x14ac:dyDescent="0.25"/>
  <cols>
    <col min="1" max="1" width="22.54296875" style="34" bestFit="1" customWidth="1"/>
    <col min="2" max="2" width="15.453125" style="34" customWidth="1"/>
    <col min="3" max="3" width="17.7265625" style="34" customWidth="1"/>
    <col min="4" max="4" width="15.453125" style="34" bestFit="1" customWidth="1"/>
    <col min="5" max="5" width="10.6328125" style="34" bestFit="1" customWidth="1"/>
    <col min="6" max="16384" width="10.90625" style="34"/>
  </cols>
  <sheetData>
    <row r="1" spans="1:8" ht="14" x14ac:dyDescent="0.3">
      <c r="A1" s="35" t="s">
        <v>72</v>
      </c>
    </row>
    <row r="2" spans="1:8" ht="14" thickBot="1" x14ac:dyDescent="0.3"/>
    <row r="3" spans="1:8" ht="14.5" thickBot="1" x14ac:dyDescent="0.35">
      <c r="A3" s="99" t="s">
        <v>31</v>
      </c>
      <c r="B3" s="100"/>
      <c r="C3" s="100"/>
      <c r="D3" s="100"/>
      <c r="E3" s="101"/>
    </row>
    <row r="4" spans="1:8" ht="14" x14ac:dyDescent="0.25">
      <c r="A4" s="106" t="s">
        <v>78</v>
      </c>
      <c r="B4" s="107"/>
      <c r="C4" s="108"/>
      <c r="D4" s="20" t="s">
        <v>37</v>
      </c>
      <c r="E4" s="18" t="s">
        <v>25</v>
      </c>
    </row>
    <row r="5" spans="1:8" ht="16.5" x14ac:dyDescent="0.25">
      <c r="A5" s="5" t="s">
        <v>18</v>
      </c>
      <c r="B5" s="4" t="s">
        <v>59</v>
      </c>
      <c r="C5" s="6" t="s">
        <v>60</v>
      </c>
      <c r="D5" s="36" t="s">
        <v>26</v>
      </c>
      <c r="E5" s="37">
        <v>0.95299999999999996</v>
      </c>
    </row>
    <row r="6" spans="1:8" x14ac:dyDescent="0.25">
      <c r="A6" s="36" t="s">
        <v>19</v>
      </c>
      <c r="B6" s="38">
        <v>11400</v>
      </c>
      <c r="C6" s="39">
        <f>B6/10000</f>
        <v>1.1399999999999999</v>
      </c>
      <c r="D6" s="36" t="s">
        <v>27</v>
      </c>
      <c r="E6" s="37">
        <v>8.5</v>
      </c>
    </row>
    <row r="7" spans="1:8" ht="14" thickBot="1" x14ac:dyDescent="0.3">
      <c r="A7" s="36" t="s">
        <v>20</v>
      </c>
      <c r="B7" s="38">
        <f>170*5</f>
        <v>850</v>
      </c>
      <c r="C7" s="39">
        <f t="shared" ref="C7:C11" si="0">B7/10000</f>
        <v>8.5000000000000006E-2</v>
      </c>
      <c r="D7" s="40" t="s">
        <v>38</v>
      </c>
      <c r="E7" s="41">
        <v>15.8</v>
      </c>
    </row>
    <row r="8" spans="1:8" ht="14" x14ac:dyDescent="0.25">
      <c r="A8" s="36" t="s">
        <v>21</v>
      </c>
      <c r="B8" s="38">
        <f>100*5</f>
        <v>500</v>
      </c>
      <c r="C8" s="39">
        <f t="shared" si="0"/>
        <v>0.05</v>
      </c>
      <c r="D8" s="20" t="s">
        <v>28</v>
      </c>
      <c r="E8" s="42">
        <f>E5*(E6/1.5)*(E7/15)</f>
        <v>5.6883511111111114</v>
      </c>
    </row>
    <row r="9" spans="1:8" ht="14" x14ac:dyDescent="0.25">
      <c r="A9" s="36" t="s">
        <v>22</v>
      </c>
      <c r="B9" s="38">
        <f>170*5</f>
        <v>850</v>
      </c>
      <c r="C9" s="39">
        <f t="shared" si="0"/>
        <v>8.5000000000000006E-2</v>
      </c>
      <c r="D9" s="7" t="s">
        <v>53</v>
      </c>
      <c r="E9" s="43">
        <f>C6+(SUM(C7:C10)/2)</f>
        <v>1.2749999999999999</v>
      </c>
    </row>
    <row r="10" spans="1:8" ht="14" x14ac:dyDescent="0.25">
      <c r="A10" s="36" t="s">
        <v>23</v>
      </c>
      <c r="B10" s="38">
        <f>100*5</f>
        <v>500</v>
      </c>
      <c r="C10" s="39">
        <f t="shared" si="0"/>
        <v>0.05</v>
      </c>
      <c r="D10" s="7" t="s">
        <v>14</v>
      </c>
      <c r="E10" s="64">
        <f>1-(1-Escenarios!C21)*(1-Escenarios!C22)*(1-Escenarios!C26)</f>
        <v>0.99875000000000003</v>
      </c>
    </row>
    <row r="11" spans="1:8" ht="14.5" thickBot="1" x14ac:dyDescent="0.3">
      <c r="A11" s="45" t="s">
        <v>24</v>
      </c>
      <c r="B11" s="46">
        <f>SUM(B6:B10)</f>
        <v>14100</v>
      </c>
      <c r="C11" s="47">
        <f t="shared" si="0"/>
        <v>1.41</v>
      </c>
      <c r="D11" s="8" t="s">
        <v>30</v>
      </c>
      <c r="E11" s="65">
        <f>E8*E9*(1-E10)</f>
        <v>9.0658095833331398E-3</v>
      </c>
    </row>
    <row r="12" spans="1:8" ht="14" thickBot="1" x14ac:dyDescent="0.3"/>
    <row r="13" spans="1:8" ht="14.5" thickBot="1" x14ac:dyDescent="0.35">
      <c r="A13" s="99" t="s">
        <v>36</v>
      </c>
      <c r="B13" s="100"/>
      <c r="C13" s="100"/>
      <c r="D13" s="124"/>
      <c r="E13" s="131"/>
    </row>
    <row r="14" spans="1:8" ht="14.5" thickBot="1" x14ac:dyDescent="0.3">
      <c r="A14" s="109" t="s">
        <v>32</v>
      </c>
      <c r="B14" s="110"/>
      <c r="C14" s="111"/>
      <c r="D14" s="17" t="s">
        <v>37</v>
      </c>
      <c r="E14" s="19" t="s">
        <v>25</v>
      </c>
      <c r="F14" s="48"/>
      <c r="G14" s="48"/>
      <c r="H14" s="48"/>
    </row>
    <row r="15" spans="1:8" ht="28" customHeight="1" thickBot="1" x14ac:dyDescent="0.3">
      <c r="A15" s="17" t="s">
        <v>33</v>
      </c>
      <c r="B15" s="112" t="s">
        <v>61</v>
      </c>
      <c r="C15" s="113"/>
      <c r="D15" s="49" t="s">
        <v>26</v>
      </c>
      <c r="E15" s="50">
        <v>0.35</v>
      </c>
      <c r="F15" s="48"/>
      <c r="G15" s="48"/>
    </row>
    <row r="16" spans="1:8" x14ac:dyDescent="0.25">
      <c r="A16" s="16">
        <v>44409</v>
      </c>
      <c r="B16" s="129">
        <v>35000</v>
      </c>
      <c r="C16" s="130"/>
      <c r="D16" s="51" t="s">
        <v>34</v>
      </c>
      <c r="E16" s="37">
        <v>3.54</v>
      </c>
      <c r="F16" s="48"/>
      <c r="G16" s="52"/>
    </row>
    <row r="17" spans="1:9" x14ac:dyDescent="0.25">
      <c r="A17" s="14">
        <v>44440</v>
      </c>
      <c r="B17" s="127">
        <v>80000</v>
      </c>
      <c r="C17" s="128"/>
      <c r="D17" s="53" t="s">
        <v>35</v>
      </c>
      <c r="E17" s="54">
        <v>5.4</v>
      </c>
      <c r="F17" s="48"/>
      <c r="G17" s="52"/>
    </row>
    <row r="18" spans="1:9" ht="14" x14ac:dyDescent="0.25">
      <c r="A18" s="14">
        <v>44470</v>
      </c>
      <c r="B18" s="127">
        <v>45000</v>
      </c>
      <c r="C18" s="128"/>
      <c r="D18" s="10" t="s">
        <v>40</v>
      </c>
      <c r="E18" s="55">
        <f>E15*(0.0016)*(((E16/2.2)^1.3)/((E17/2)^1.4))</f>
        <v>2.5872209111332627E-4</v>
      </c>
      <c r="F18" s="48"/>
      <c r="G18" s="52"/>
    </row>
    <row r="19" spans="1:9" ht="14" x14ac:dyDescent="0.25">
      <c r="A19" s="14">
        <v>44501</v>
      </c>
      <c r="B19" s="127">
        <v>45000</v>
      </c>
      <c r="C19" s="128"/>
      <c r="D19" s="10" t="s">
        <v>41</v>
      </c>
      <c r="E19" s="56">
        <f>SUM(B16:C20)</f>
        <v>250000</v>
      </c>
      <c r="G19" s="52"/>
    </row>
    <row r="20" spans="1:9" ht="14" x14ac:dyDescent="0.25">
      <c r="A20" s="14">
        <v>44531</v>
      </c>
      <c r="B20" s="127">
        <v>45000</v>
      </c>
      <c r="C20" s="128"/>
      <c r="D20" s="10" t="s">
        <v>42</v>
      </c>
      <c r="E20" s="57">
        <f>E18*E19</f>
        <v>64.680522778331564</v>
      </c>
      <c r="F20" s="48"/>
      <c r="G20" s="52"/>
    </row>
    <row r="21" spans="1:9" ht="14.5" thickBot="1" x14ac:dyDescent="0.3">
      <c r="A21" s="9" t="s">
        <v>39</v>
      </c>
      <c r="B21" s="97">
        <f>31+30+31+30+31</f>
        <v>153</v>
      </c>
      <c r="C21" s="98"/>
      <c r="D21" s="11" t="s">
        <v>30</v>
      </c>
      <c r="E21" s="44">
        <f>+E20/B21</f>
        <v>0.42274851489105597</v>
      </c>
      <c r="F21" s="48"/>
      <c r="G21" s="52"/>
    </row>
    <row r="22" spans="1:9" ht="14" thickBot="1" x14ac:dyDescent="0.3">
      <c r="C22" s="48"/>
      <c r="G22" s="52"/>
      <c r="H22" s="48"/>
      <c r="I22" s="48"/>
    </row>
    <row r="23" spans="1:9" ht="15" customHeight="1" thickBot="1" x14ac:dyDescent="0.35">
      <c r="A23" s="99" t="s">
        <v>48</v>
      </c>
      <c r="B23" s="100"/>
      <c r="C23" s="100"/>
      <c r="D23" s="100"/>
      <c r="E23" s="101"/>
    </row>
    <row r="24" spans="1:9" ht="14.5" thickBot="1" x14ac:dyDescent="0.3">
      <c r="A24" s="20" t="s">
        <v>50</v>
      </c>
      <c r="B24" s="102">
        <v>0.65</v>
      </c>
      <c r="C24" s="103"/>
      <c r="D24" s="12" t="s">
        <v>49</v>
      </c>
      <c r="E24" s="13" t="s">
        <v>25</v>
      </c>
    </row>
    <row r="25" spans="1:9" ht="14.5" thickBot="1" x14ac:dyDescent="0.3">
      <c r="A25" s="8" t="s">
        <v>43</v>
      </c>
      <c r="B25" s="104">
        <v>54</v>
      </c>
      <c r="C25" s="105"/>
      <c r="D25" s="58" t="s">
        <v>44</v>
      </c>
      <c r="E25" s="59">
        <v>1.5</v>
      </c>
      <c r="G25" s="48"/>
    </row>
    <row r="26" spans="1:9" x14ac:dyDescent="0.25">
      <c r="D26" s="36" t="s">
        <v>45</v>
      </c>
      <c r="E26" s="37">
        <v>7.1</v>
      </c>
    </row>
    <row r="27" spans="1:9" x14ac:dyDescent="0.25">
      <c r="D27" s="36" t="s">
        <v>46</v>
      </c>
      <c r="E27" s="37">
        <v>28</v>
      </c>
    </row>
    <row r="28" spans="1:9" ht="14" x14ac:dyDescent="0.25">
      <c r="D28" s="7" t="s">
        <v>47</v>
      </c>
      <c r="E28" s="57">
        <f>E25*281.9*((E26/12)^0.9)*((E27/2.72)^0.45)</f>
        <v>752.87146084681967</v>
      </c>
    </row>
    <row r="29" spans="1:9" ht="14" x14ac:dyDescent="0.25">
      <c r="D29" s="7" t="s">
        <v>51</v>
      </c>
      <c r="E29" s="56">
        <f>B24*B25</f>
        <v>35.1</v>
      </c>
    </row>
    <row r="30" spans="1:9" ht="14" x14ac:dyDescent="0.25">
      <c r="A30" s="48"/>
      <c r="B30" s="48"/>
      <c r="D30" s="7" t="s">
        <v>14</v>
      </c>
      <c r="E30" s="60">
        <f>+Escenarios!C20</f>
        <v>0.9</v>
      </c>
    </row>
    <row r="31" spans="1:9" ht="14.5" thickBot="1" x14ac:dyDescent="0.3">
      <c r="A31" s="48"/>
      <c r="B31" s="48"/>
      <c r="D31" s="8" t="s">
        <v>30</v>
      </c>
      <c r="E31" s="61">
        <f>E28*E29*(1-E30)/1000</f>
        <v>2.6425788275723368</v>
      </c>
    </row>
    <row r="32" spans="1:9" ht="14" thickBot="1" x14ac:dyDescent="0.3"/>
    <row r="33" spans="1:4" ht="28" x14ac:dyDescent="0.25">
      <c r="A33" s="116" t="s">
        <v>66</v>
      </c>
      <c r="B33" s="117"/>
      <c r="C33" s="21" t="s">
        <v>54</v>
      </c>
      <c r="D33" s="15" t="s">
        <v>55</v>
      </c>
    </row>
    <row r="34" spans="1:4" x14ac:dyDescent="0.25">
      <c r="A34" s="118" t="s">
        <v>67</v>
      </c>
      <c r="B34" s="119"/>
      <c r="C34" s="66">
        <f>+E11*$B$21/1000</f>
        <v>1.3870688662499704E-3</v>
      </c>
      <c r="D34" s="122">
        <f>SUM(C34:C36)</f>
        <v>0.47038215226314906</v>
      </c>
    </row>
    <row r="35" spans="1:4" x14ac:dyDescent="0.25">
      <c r="A35" s="118" t="s">
        <v>68</v>
      </c>
      <c r="B35" s="119"/>
      <c r="C35" s="67">
        <f>+E21*$B$21/1000</f>
        <v>6.468052277833157E-2</v>
      </c>
      <c r="D35" s="122"/>
    </row>
    <row r="36" spans="1:4" ht="30.5" customHeight="1" thickBot="1" x14ac:dyDescent="0.3">
      <c r="A36" s="120" t="s">
        <v>52</v>
      </c>
      <c r="B36" s="121"/>
      <c r="C36" s="63">
        <f>+E31*$B$21/1000</f>
        <v>0.40431456061856752</v>
      </c>
      <c r="D36" s="123"/>
    </row>
  </sheetData>
  <mergeCells count="19">
    <mergeCell ref="A33:B33"/>
    <mergeCell ref="A34:B34"/>
    <mergeCell ref="D34:D36"/>
    <mergeCell ref="A35:B35"/>
    <mergeCell ref="A36:B36"/>
    <mergeCell ref="B16:C16"/>
    <mergeCell ref="A3:E3"/>
    <mergeCell ref="A4:C4"/>
    <mergeCell ref="A13:E13"/>
    <mergeCell ref="A14:C14"/>
    <mergeCell ref="B15:C15"/>
    <mergeCell ref="A23:E23"/>
    <mergeCell ref="B24:C24"/>
    <mergeCell ref="B25:C25"/>
    <mergeCell ref="B17:C17"/>
    <mergeCell ref="B18:C18"/>
    <mergeCell ref="B19:C19"/>
    <mergeCell ref="B20:C20"/>
    <mergeCell ref="B21:C21"/>
  </mergeCells>
  <pageMargins left="0.7" right="0.7" top="0.75" bottom="0.75" header="0.3" footer="0.3"/>
  <pageSetup paperSize="9" orientation="portrait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CBA12-3E3C-4969-BA27-12BCBF80EC8B}">
  <dimension ref="A1:J46"/>
  <sheetViews>
    <sheetView view="pageLayout" zoomScale="70" zoomScaleNormal="80" zoomScalePageLayoutView="70" workbookViewId="0">
      <selection activeCell="B24" sqref="B24"/>
    </sheetView>
  </sheetViews>
  <sheetFormatPr baseColWidth="10" defaultRowHeight="13.5" x14ac:dyDescent="0.25"/>
  <cols>
    <col min="1" max="1" width="58.90625" style="68" bestFit="1" customWidth="1"/>
    <col min="2" max="2" width="27" style="68" customWidth="1"/>
    <col min="3" max="3" width="34.453125" style="68" bestFit="1" customWidth="1"/>
    <col min="4" max="4" width="19.81640625" style="68" bestFit="1" customWidth="1"/>
    <col min="5" max="5" width="3" style="68" customWidth="1"/>
    <col min="6" max="6" width="34.453125" style="68" bestFit="1" customWidth="1"/>
    <col min="7" max="7" width="19.81640625" style="68" bestFit="1" customWidth="1"/>
    <col min="8" max="8" width="10.90625" style="68"/>
    <col min="9" max="16384" width="10.90625" style="34"/>
  </cols>
  <sheetData>
    <row r="1" spans="1:10" ht="14" x14ac:dyDescent="0.3">
      <c r="A1" s="79" t="s">
        <v>73</v>
      </c>
    </row>
    <row r="2" spans="1:10" ht="14" thickBot="1" x14ac:dyDescent="0.3"/>
    <row r="3" spans="1:10" ht="14" x14ac:dyDescent="0.3">
      <c r="A3" s="92" t="s">
        <v>56</v>
      </c>
      <c r="B3" s="94"/>
    </row>
    <row r="4" spans="1:10" ht="16.5" x14ac:dyDescent="0.3">
      <c r="A4" s="69" t="s">
        <v>62</v>
      </c>
      <c r="B4" s="70" t="s">
        <v>63</v>
      </c>
    </row>
    <row r="5" spans="1:10" x14ac:dyDescent="0.25">
      <c r="A5" s="85">
        <v>200</v>
      </c>
      <c r="B5" s="71">
        <v>74.959999999999994</v>
      </c>
    </row>
    <row r="6" spans="1:10" x14ac:dyDescent="0.25">
      <c r="A6" s="85">
        <v>300</v>
      </c>
      <c r="B6" s="71">
        <v>76.78</v>
      </c>
    </row>
    <row r="7" spans="1:10" x14ac:dyDescent="0.25">
      <c r="A7" s="85">
        <v>400</v>
      </c>
      <c r="B7" s="71">
        <v>70.819999999999993</v>
      </c>
    </row>
    <row r="8" spans="1:10" x14ac:dyDescent="0.25">
      <c r="A8" s="86">
        <v>500</v>
      </c>
      <c r="B8" s="72">
        <v>63.97</v>
      </c>
    </row>
    <row r="9" spans="1:10" x14ac:dyDescent="0.25">
      <c r="A9" s="86">
        <v>1000</v>
      </c>
      <c r="B9" s="72">
        <v>40.01</v>
      </c>
      <c r="J9" s="73"/>
    </row>
    <row r="10" spans="1:10" x14ac:dyDescent="0.25">
      <c r="A10" s="86">
        <v>1500</v>
      </c>
      <c r="B10" s="72">
        <v>27.43</v>
      </c>
    </row>
    <row r="11" spans="1:10" x14ac:dyDescent="0.25">
      <c r="A11" s="86">
        <v>2000</v>
      </c>
      <c r="B11" s="72">
        <v>19.8</v>
      </c>
    </row>
    <row r="12" spans="1:10" x14ac:dyDescent="0.25">
      <c r="A12" s="86">
        <v>2500</v>
      </c>
      <c r="B12" s="72">
        <v>15.23</v>
      </c>
    </row>
    <row r="13" spans="1:10" ht="14" thickBot="1" x14ac:dyDescent="0.3">
      <c r="A13" s="87">
        <v>3000</v>
      </c>
      <c r="B13" s="74">
        <v>12.15</v>
      </c>
    </row>
    <row r="14" spans="1:10" ht="16.5" x14ac:dyDescent="0.25">
      <c r="A14" s="82" t="s">
        <v>64</v>
      </c>
      <c r="B14" s="75">
        <v>76.78</v>
      </c>
    </row>
    <row r="15" spans="1:10" ht="16.5" x14ac:dyDescent="0.25">
      <c r="A15" s="83" t="s">
        <v>77</v>
      </c>
      <c r="B15" s="76">
        <f>+B14*0.4</f>
        <v>30.712000000000003</v>
      </c>
    </row>
    <row r="16" spans="1:10" ht="17" thickBot="1" x14ac:dyDescent="0.35">
      <c r="A16" s="84" t="s">
        <v>65</v>
      </c>
      <c r="B16" s="88">
        <f>B15/150</f>
        <v>0.20474666666666669</v>
      </c>
    </row>
    <row r="17" spans="1:7" ht="14" thickBot="1" x14ac:dyDescent="0.3">
      <c r="G17" s="77"/>
    </row>
    <row r="18" spans="1:7" ht="14" x14ac:dyDescent="0.3">
      <c r="A18" s="92" t="s">
        <v>57</v>
      </c>
      <c r="B18" s="94"/>
    </row>
    <row r="19" spans="1:7" ht="16.5" x14ac:dyDescent="0.3">
      <c r="A19" s="69" t="s">
        <v>62</v>
      </c>
      <c r="B19" s="70" t="s">
        <v>63</v>
      </c>
    </row>
    <row r="20" spans="1:7" x14ac:dyDescent="0.25">
      <c r="A20" s="85">
        <v>200</v>
      </c>
      <c r="B20" s="78">
        <v>9.5990000000000002</v>
      </c>
    </row>
    <row r="21" spans="1:7" x14ac:dyDescent="0.25">
      <c r="A21" s="85">
        <v>300</v>
      </c>
      <c r="B21" s="78">
        <v>9.7449999999999992</v>
      </c>
    </row>
    <row r="22" spans="1:7" x14ac:dyDescent="0.25">
      <c r="A22" s="85">
        <v>400</v>
      </c>
      <c r="B22" s="78">
        <v>8.9540000000000006</v>
      </c>
    </row>
    <row r="23" spans="1:7" x14ac:dyDescent="0.25">
      <c r="A23" s="86">
        <v>500</v>
      </c>
      <c r="B23" s="78">
        <v>8.0459999999999994</v>
      </c>
    </row>
    <row r="24" spans="1:7" x14ac:dyDescent="0.25">
      <c r="A24" s="86">
        <v>1000</v>
      </c>
      <c r="B24" s="78">
        <v>4.7960000000000003</v>
      </c>
    </row>
    <row r="25" spans="1:7" x14ac:dyDescent="0.25">
      <c r="A25" s="86">
        <v>1500</v>
      </c>
      <c r="B25" s="78">
        <v>3.1579999999999999</v>
      </c>
    </row>
    <row r="26" spans="1:7" x14ac:dyDescent="0.25">
      <c r="A26" s="86">
        <v>2000</v>
      </c>
      <c r="B26" s="78">
        <v>2.226</v>
      </c>
    </row>
    <row r="27" spans="1:7" x14ac:dyDescent="0.25">
      <c r="A27" s="86">
        <v>2500</v>
      </c>
      <c r="B27" s="72">
        <v>1.6890000000000001</v>
      </c>
    </row>
    <row r="28" spans="1:7" ht="14" thickBot="1" x14ac:dyDescent="0.3">
      <c r="A28" s="87">
        <v>3000</v>
      </c>
      <c r="B28" s="74">
        <v>1.335</v>
      </c>
    </row>
    <row r="29" spans="1:7" ht="16.5" x14ac:dyDescent="0.25">
      <c r="A29" s="82" t="s">
        <v>64</v>
      </c>
      <c r="B29" s="75">
        <v>9.7449999999999992</v>
      </c>
    </row>
    <row r="30" spans="1:7" ht="16.5" x14ac:dyDescent="0.25">
      <c r="A30" s="83" t="s">
        <v>77</v>
      </c>
      <c r="B30" s="76">
        <f>+B29*0.4</f>
        <v>3.8979999999999997</v>
      </c>
    </row>
    <row r="31" spans="1:7" ht="17" thickBot="1" x14ac:dyDescent="0.35">
      <c r="A31" s="84" t="s">
        <v>65</v>
      </c>
      <c r="B31" s="88">
        <f>B30/150</f>
        <v>2.5986666666666665E-2</v>
      </c>
    </row>
    <row r="32" spans="1:7" ht="14" thickBot="1" x14ac:dyDescent="0.3"/>
    <row r="33" spans="1:2" ht="14" x14ac:dyDescent="0.3">
      <c r="A33" s="92" t="s">
        <v>58</v>
      </c>
      <c r="B33" s="94"/>
    </row>
    <row r="34" spans="1:2" ht="16.5" x14ac:dyDescent="0.3">
      <c r="A34" s="69" t="s">
        <v>62</v>
      </c>
      <c r="B34" s="70" t="s">
        <v>63</v>
      </c>
    </row>
    <row r="35" spans="1:2" x14ac:dyDescent="0.25">
      <c r="A35" s="85">
        <v>200</v>
      </c>
      <c r="B35" s="78">
        <v>8.5120000000000005</v>
      </c>
    </row>
    <row r="36" spans="1:2" x14ac:dyDescent="0.25">
      <c r="A36" s="85">
        <v>300</v>
      </c>
      <c r="B36" s="78">
        <v>8.641</v>
      </c>
    </row>
    <row r="37" spans="1:2" x14ac:dyDescent="0.25">
      <c r="A37" s="85">
        <v>400</v>
      </c>
      <c r="B37" s="78">
        <v>7.94</v>
      </c>
    </row>
    <row r="38" spans="1:2" x14ac:dyDescent="0.25">
      <c r="A38" s="86">
        <v>500</v>
      </c>
      <c r="B38" s="72">
        <v>7.1349999999999998</v>
      </c>
    </row>
    <row r="39" spans="1:2" x14ac:dyDescent="0.25">
      <c r="A39" s="86">
        <v>1000</v>
      </c>
      <c r="B39" s="72">
        <v>4.2519999999999998</v>
      </c>
    </row>
    <row r="40" spans="1:2" x14ac:dyDescent="0.25">
      <c r="A40" s="86">
        <v>1500</v>
      </c>
      <c r="B40" s="72">
        <v>2.8</v>
      </c>
    </row>
    <row r="41" spans="1:2" x14ac:dyDescent="0.25">
      <c r="A41" s="86">
        <v>2000</v>
      </c>
      <c r="B41" s="72">
        <v>1.974</v>
      </c>
    </row>
    <row r="42" spans="1:2" x14ac:dyDescent="0.25">
      <c r="A42" s="86">
        <v>2500</v>
      </c>
      <c r="B42" s="72">
        <v>1.498</v>
      </c>
    </row>
    <row r="43" spans="1:2" ht="14" thickBot="1" x14ac:dyDescent="0.3">
      <c r="A43" s="87">
        <v>3000</v>
      </c>
      <c r="B43" s="74">
        <v>1.1839999999999999</v>
      </c>
    </row>
    <row r="44" spans="1:2" ht="16.5" x14ac:dyDescent="0.25">
      <c r="A44" s="82" t="s">
        <v>64</v>
      </c>
      <c r="B44" s="75">
        <v>8.641</v>
      </c>
    </row>
    <row r="45" spans="1:2" ht="16.5" x14ac:dyDescent="0.25">
      <c r="A45" s="83" t="s">
        <v>77</v>
      </c>
      <c r="B45" s="76">
        <f>+B44*0.4</f>
        <v>3.4564000000000004</v>
      </c>
    </row>
    <row r="46" spans="1:2" ht="17" thickBot="1" x14ac:dyDescent="0.35">
      <c r="A46" s="84" t="s">
        <v>65</v>
      </c>
      <c r="B46" s="88">
        <f>B45/150</f>
        <v>2.304266666666667E-2</v>
      </c>
    </row>
  </sheetData>
  <mergeCells count="3">
    <mergeCell ref="A3:B3"/>
    <mergeCell ref="A18:B18"/>
    <mergeCell ref="A33:B33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Portada</vt:lpstr>
      <vt:lpstr>Escenarios</vt:lpstr>
      <vt:lpstr>Emisiones Escenario Previo</vt:lpstr>
      <vt:lpstr>Emisiones Escenario Actual</vt:lpstr>
      <vt:lpstr>Emisiones Escenario Futuro</vt:lpstr>
      <vt:lpstr>Resultados SCREEN3 y Análisis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Garcia</dc:creator>
  <cp:lastModifiedBy>Mariana Garcia</cp:lastModifiedBy>
  <dcterms:created xsi:type="dcterms:W3CDTF">2021-07-27T23:13:46Z</dcterms:created>
  <dcterms:modified xsi:type="dcterms:W3CDTF">2021-08-03T22:48:38Z</dcterms:modified>
</cp:coreProperties>
</file>